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64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<sst xmlns="http://schemas.openxmlformats.org/spreadsheetml/2006/main" count="169" uniqueCount="166">
  <si>
    <t>Lp</t>
  </si>
  <si>
    <t>Zasoby Spółdzielni Mieszkaniowej „Kuźniki” we Wrocławiu</t>
  </si>
  <si>
    <t>Lp.</t>
  </si>
  <si>
    <t>1.</t>
  </si>
  <si>
    <t>2.</t>
  </si>
  <si>
    <t>Lokalizacja [ulica, nr]</t>
  </si>
  <si>
    <t>Nr działki</t>
  </si>
  <si>
    <t>80/15</t>
  </si>
  <si>
    <t>Majakowskiego 8 -10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</si>
  <si>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</si>
  <si>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</si>
  <si>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</si>
  <si>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</si>
  <si>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</si>
  <si>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</si>
  <si>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</si>
  <si>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</si>
  <si>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</si>
  <si>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</si>
  <si>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</si>
  <si>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</si>
  <si>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</si>
  <si>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</si>
  <si>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</si>
  <si>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</si>
  <si>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</si>
  <si>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</si>
  <si>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</si>
  <si>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</si>
  <si>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</si>
  <si>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</si>
  <si>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</si>
  <si>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</si>
  <si>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</si>
  <si>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</si>
  <si>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</si>
  <si>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</si>
  <si>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</si>
  <si>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</si>
  <si>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</si>
  <si>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</si>
  <si>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</si>
  <si>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</si>
  <si>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</si>
  <si>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</si>
  <si>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</si>
  <si>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</si>
  <si>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Majakowskiego 2 - 6</t>
  </si>
  <si>
    <t xml:space="preserve"> 80/13</t>
  </si>
  <si>
    <t>Majakowskiego 12-14</t>
  </si>
  <si>
    <t>80/16</t>
  </si>
  <si>
    <t>Majakowskiego 16-18</t>
  </si>
  <si>
    <t>80/17</t>
  </si>
  <si>
    <t>Majakowskiego 20-24</t>
  </si>
  <si>
    <t xml:space="preserve"> 80/12</t>
  </si>
  <si>
    <t>Majakowskiego 26-28</t>
  </si>
  <si>
    <t>80/18</t>
  </si>
  <si>
    <t>Hermanowska 63-67</t>
  </si>
  <si>
    <t>80/24</t>
  </si>
  <si>
    <t xml:space="preserve">Hermanowska 69-71 </t>
  </si>
  <si>
    <t>80/23</t>
  </si>
  <si>
    <t>Hermanowska 73- 75</t>
  </si>
  <si>
    <t>80/22</t>
  </si>
  <si>
    <t>Hermanowska 77-79</t>
  </si>
  <si>
    <t>80/25</t>
  </si>
  <si>
    <t>Hermanowska 81-83</t>
  </si>
  <si>
    <t>80/21</t>
  </si>
  <si>
    <t>Hermanowska 85-87</t>
  </si>
  <si>
    <t>80/26</t>
  </si>
  <si>
    <t>Hermanowska 89-91</t>
  </si>
  <si>
    <t>80/20</t>
  </si>
  <si>
    <t>Koszalińska 4-8</t>
  </si>
  <si>
    <t>80/27</t>
  </si>
  <si>
    <t>Koszalińska 10-16</t>
  </si>
  <si>
    <t>80/14</t>
  </si>
  <si>
    <t>Sarbinowska 23-29</t>
  </si>
  <si>
    <t xml:space="preserve"> 2/14</t>
  </si>
  <si>
    <t xml:space="preserve">Sarbinowska 31-33 </t>
  </si>
  <si>
    <t xml:space="preserve"> 2/15</t>
  </si>
  <si>
    <t>Sarbinowska 35-37</t>
  </si>
  <si>
    <t xml:space="preserve"> 2/16</t>
  </si>
  <si>
    <t>Sarbinowska 39-43</t>
  </si>
  <si>
    <t xml:space="preserve"> 2/17</t>
  </si>
  <si>
    <t>Sarbinowska 45-47</t>
  </si>
  <si>
    <t xml:space="preserve"> 2/18</t>
  </si>
  <si>
    <t>Sarbinowska 49-53</t>
  </si>
  <si>
    <t xml:space="preserve"> 2/19 </t>
  </si>
  <si>
    <t>Dźwirzyńska 10-12</t>
  </si>
  <si>
    <t xml:space="preserve"> 2/26 </t>
  </si>
  <si>
    <t>Dźwirzyńska 14-18</t>
  </si>
  <si>
    <t xml:space="preserve"> 2/25</t>
  </si>
  <si>
    <t>Dźwirzyńska 20-22</t>
  </si>
  <si>
    <t xml:space="preserve"> 2/24</t>
  </si>
  <si>
    <t>Dźwirzyńska 24-28</t>
  </si>
  <si>
    <t xml:space="preserve"> 2/23</t>
  </si>
  <si>
    <t>Dźwirzyńska 30-32</t>
  </si>
  <si>
    <t xml:space="preserve"> 2/22 </t>
  </si>
  <si>
    <t>Dźwirzyńska 34-38</t>
  </si>
  <si>
    <t xml:space="preserve"> 2/21</t>
  </si>
  <si>
    <t>Dźwirzyńska 40-44</t>
  </si>
  <si>
    <t xml:space="preserve"> 2/20</t>
  </si>
  <si>
    <t>Sarbinowska 2- 8</t>
  </si>
  <si>
    <t xml:space="preserve"> 15/12</t>
  </si>
  <si>
    <t xml:space="preserve">Sarbinowska 1-3 </t>
  </si>
  <si>
    <t xml:space="preserve"> 15/13</t>
  </si>
  <si>
    <t>Sarbinowska 5-7</t>
  </si>
  <si>
    <t xml:space="preserve"> 15/15</t>
  </si>
  <si>
    <t>Sarbinowska 9-13</t>
  </si>
  <si>
    <t xml:space="preserve"> 15/17</t>
  </si>
  <si>
    <t>Dźwirzyńska 2-4</t>
  </si>
  <si>
    <t xml:space="preserve"> 15/14</t>
  </si>
  <si>
    <t>Sarbinowska 15-21</t>
  </si>
  <si>
    <t xml:space="preserve"> 15/18</t>
  </si>
  <si>
    <t>Dźwirzyńska 6-8</t>
  </si>
  <si>
    <t xml:space="preserve"> 15/19</t>
  </si>
  <si>
    <t>Dźwirzyńska 5-7</t>
  </si>
  <si>
    <t xml:space="preserve"> 15/20</t>
  </si>
  <si>
    <t>Dźwirzyńska 9-13</t>
  </si>
  <si>
    <t xml:space="preserve"> 15/21</t>
  </si>
  <si>
    <t>Dźwirzyńska 15-19</t>
  </si>
  <si>
    <t xml:space="preserve"> 15/22</t>
  </si>
  <si>
    <t>15/23</t>
  </si>
  <si>
    <t>Majakowskiego 30-40</t>
  </si>
  <si>
    <t>15/24</t>
  </si>
  <si>
    <t>Dźwi. 21, Maja. 42-44</t>
  </si>
  <si>
    <t>41.</t>
  </si>
  <si>
    <t>42.</t>
  </si>
  <si>
    <t>43.</t>
  </si>
  <si>
    <t>44.</t>
  </si>
  <si>
    <t>45.</t>
  </si>
  <si>
    <t>Dźwirzyńska droga</t>
  </si>
  <si>
    <t xml:space="preserve"> 15/16</t>
  </si>
  <si>
    <t xml:space="preserve"> 15/25</t>
  </si>
  <si>
    <t>Hermanowska droga</t>
  </si>
  <si>
    <t xml:space="preserve"> 80/19</t>
  </si>
  <si>
    <t>mienie SM droga</t>
  </si>
  <si>
    <t xml:space="preserve"> 80/5</t>
  </si>
  <si>
    <t xml:space="preserve"> 2/13</t>
  </si>
  <si>
    <t>46.</t>
  </si>
  <si>
    <t>Powierzchni zabudowy</t>
  </si>
  <si>
    <t>Razem</t>
  </si>
  <si>
    <t>Powierzchnia działki [m2]</t>
  </si>
  <si>
    <r>
      <t>Powierzchnia elementów w budynku do sprzątania 
( korytarze, kl. schodowe, galerie) [m</t>
    </r>
    <r>
      <rPr>
        <b/>
        <vertAlign val="superscript"/>
        <sz val="8"/>
        <color indexed="8"/>
        <rFont val="Tahoma"/>
        <family val="2"/>
      </rPr>
      <t>2</t>
    </r>
    <r>
      <rPr>
        <b/>
        <sz val="8"/>
        <color indexed="8"/>
        <rFont val="Tahoma"/>
        <family val="2"/>
      </rPr>
      <t>]</t>
    </r>
  </si>
  <si>
    <r>
      <t>Powierzchnia elementów w budynku do sprzątania ( pralnie, suszarnie, wózkownie oraz korytarze piwnic) [m</t>
    </r>
    <r>
      <rPr>
        <b/>
        <vertAlign val="superscript"/>
        <sz val="8"/>
        <color indexed="8"/>
        <rFont val="Tahoma"/>
        <family val="2"/>
      </rPr>
      <t>2</t>
    </r>
    <r>
      <rPr>
        <b/>
        <sz val="8"/>
        <color indexed="8"/>
        <rFont val="Tahoma"/>
        <family val="2"/>
      </rPr>
      <t>]</t>
    </r>
  </si>
  <si>
    <r>
      <t>Powierzchnia ciągów pieszo-jezdnych i pozostałych [m</t>
    </r>
    <r>
      <rPr>
        <b/>
        <vertAlign val="superscript"/>
        <sz val="8"/>
        <color indexed="8"/>
        <rFont val="Tahoma"/>
        <family val="2"/>
      </rPr>
      <t>2</t>
    </r>
    <r>
      <rPr>
        <b/>
        <sz val="8"/>
        <color indexed="8"/>
        <rFont val="Tahoma"/>
        <family val="2"/>
      </rPr>
      <t>]</t>
    </r>
  </si>
  <si>
    <r>
      <t>Powierzchnia terenów zieleni [m</t>
    </r>
    <r>
      <rPr>
        <b/>
        <vertAlign val="superscript"/>
        <sz val="8"/>
        <color indexed="8"/>
        <rFont val="Tahoma"/>
        <family val="2"/>
      </rPr>
      <t>2</t>
    </r>
    <r>
      <rPr>
        <b/>
        <sz val="8"/>
        <color indexed="8"/>
        <rFont val="Tahoma"/>
        <family val="2"/>
      </rPr>
      <t>]</t>
    </r>
  </si>
  <si>
    <t>Wew. budynku [ zł.]</t>
  </si>
  <si>
    <t>Zew. Budynku [zł.]</t>
  </si>
  <si>
    <t>Razem [zł.]</t>
  </si>
  <si>
    <t>Strona 6 z 9</t>
  </si>
  <si>
    <t xml:space="preserve">
Załącznik Nr 1 (tabela) do Umowy - wynagrodzenie cząstkowe
</t>
  </si>
  <si>
    <t xml:space="preserve"> 2/10</t>
  </si>
  <si>
    <t>47.</t>
  </si>
  <si>
    <t xml:space="preserve">Wynagrodzenie cząstkowe
 [zł. brutto] za należyte wykonanie obowiązków wynikających z umowy </t>
  </si>
  <si>
    <t xml:space="preserve"> 2/11</t>
  </si>
  <si>
    <t xml:space="preserve"> 15/30</t>
  </si>
  <si>
    <t>parking</t>
  </si>
  <si>
    <t>parking- droga</t>
  </si>
  <si>
    <t>droga</t>
  </si>
  <si>
    <t xml:space="preserve"> 80/4</t>
  </si>
  <si>
    <t xml:space="preserve"> 2/9</t>
  </si>
  <si>
    <t>droga-parking</t>
  </si>
  <si>
    <t>48.</t>
  </si>
  <si>
    <t>49.</t>
  </si>
  <si>
    <t>50.</t>
  </si>
  <si>
    <t>51.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</si>
</sst>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b/>
      <vertAlign val="superscript"/>
      <sz val="8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Calibri"/>
      <family val="2"/>
    </font>
    <font>
      <b/>
      <sz val="14"/>
      <color indexed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Tahoma"/>
      <family val="2"/>
    </font>
    <font>
      <b/>
      <sz val="14"/>
      <color rgb="FF000000"/>
      <name val="Tahoma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 indent="12"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4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3" fontId="45" fillId="0" borderId="15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6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" fontId="44" fillId="0" borderId="10" xfId="0" applyNumberFormat="1" applyFont="1" applyBorder="1" applyAlignment="1">
      <alignment horizontal="center" vertical="center"/>
    </xf>
    <xf numFmtId="1" fontId="44" fillId="0" borderId="13" xfId="0" applyNumberFormat="1" applyFont="1" applyBorder="1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47" fillId="0" borderId="14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2" fontId="47" fillId="0" borderId="18" xfId="0" applyNumberFormat="1" applyFont="1" applyBorder="1" applyAlignment="1">
      <alignment horizontal="center"/>
    </xf>
    <xf numFmtId="2" fontId="47" fillId="0" borderId="11" xfId="0" applyNumberFormat="1" applyFont="1" applyBorder="1" applyAlignment="1">
      <alignment horizontal="center"/>
    </xf>
    <xf numFmtId="2" fontId="47" fillId="0" borderId="12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9" fillId="0" borderId="19" xfId="0" applyFont="1" applyBorder="1" applyAlignment="1">
      <alignment horizontal="left" vertical="center" wrapText="1" indent="12"/>
    </xf>
    <xf numFmtId="0" fontId="49" fillId="0" borderId="17" xfId="0" applyFont="1" applyBorder="1" applyAlignment="1">
      <alignment horizontal="left" vertical="center" wrapText="1" indent="12"/>
    </xf>
    <xf numFmtId="0" fontId="49" fillId="0" borderId="15" xfId="0" applyFont="1" applyBorder="1" applyAlignment="1">
      <alignment horizontal="left" vertical="center" wrapText="1" indent="12"/>
    </xf>
    <xf numFmtId="0" fontId="43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A4">
      <selection activeCell="R54" sqref="R54"/>
    </sheetView>
  </sheetViews>
  <sheetFormatPr defaultColWidth="9.140625" defaultRowHeight="15"/>
  <cols>
    <col min="1" max="1" width="6.7109375" style="0" customWidth="1"/>
    <col min="2" max="2" width="17.421875" style="0" customWidth="1"/>
    <col min="3" max="3" width="13.140625" style="14" customWidth="1"/>
    <col min="4" max="4" width="14.7109375" style="0" customWidth="1"/>
    <col min="5" max="5" width="16.57421875" style="0" customWidth="1"/>
    <col min="6" max="6" width="20.421875" style="14" customWidth="1"/>
    <col min="7" max="7" width="12.57421875" style="14" customWidth="1"/>
    <col min="8" max="8" width="13.421875" style="14" customWidth="1"/>
    <col min="9" max="9" width="8.00390625" style="36" customWidth="1"/>
    <col min="11" max="11" width="8.28125" style="0" customWidth="1"/>
    <col min="12" max="12" width="8.57421875" style="0" hidden="1" customWidth="1"/>
    <col min="13" max="13" width="11.7109375" style="0" hidden="1" customWidth="1"/>
    <col min="14" max="14" width="12.421875" style="0" hidden="1" customWidth="1"/>
    <col min="15" max="15" width="9.57421875" style="0" hidden="1" customWidth="1"/>
  </cols>
  <sheetData>
    <row r="1" spans="1:11" ht="34.5" customHeight="1">
      <c r="A1" s="52" t="s">
        <v>150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14.25" customHeight="1"/>
    <row r="3" ht="14.25" customHeight="1" thickBot="1"/>
    <row r="4" spans="1:11" ht="52.5" customHeight="1" thickBot="1">
      <c r="A4" s="1" t="s">
        <v>0</v>
      </c>
      <c r="B4" s="54" t="s">
        <v>1</v>
      </c>
      <c r="C4" s="55"/>
      <c r="D4" s="55"/>
      <c r="E4" s="55"/>
      <c r="F4" s="55"/>
      <c r="G4" s="55"/>
      <c r="H4" s="56"/>
      <c r="I4" s="57" t="s">
        <v>153</v>
      </c>
      <c r="J4" s="58"/>
      <c r="K4" s="59"/>
    </row>
    <row r="5" spans="1:13" ht="80.25" customHeight="1" thickBot="1">
      <c r="A5" s="8" t="s">
        <v>2</v>
      </c>
      <c r="B5" s="8" t="s">
        <v>5</v>
      </c>
      <c r="C5" s="2" t="s">
        <v>6</v>
      </c>
      <c r="D5" s="2" t="s">
        <v>141</v>
      </c>
      <c r="E5" s="8" t="s">
        <v>142</v>
      </c>
      <c r="F5" s="8" t="s">
        <v>143</v>
      </c>
      <c r="G5" s="8" t="s">
        <v>144</v>
      </c>
      <c r="H5" s="8" t="s">
        <v>145</v>
      </c>
      <c r="I5" s="39" t="s">
        <v>146</v>
      </c>
      <c r="J5" s="8" t="s">
        <v>147</v>
      </c>
      <c r="K5" s="8" t="s">
        <v>148</v>
      </c>
      <c r="M5" s="33" t="s">
        <v>139</v>
      </c>
    </row>
    <row r="6" spans="1:15" ht="16.5" customHeight="1" thickBot="1">
      <c r="A6" s="10" t="s">
        <v>3</v>
      </c>
      <c r="B6" s="13" t="s">
        <v>47</v>
      </c>
      <c r="C6" s="15" t="s">
        <v>48</v>
      </c>
      <c r="D6" s="17">
        <v>5334</v>
      </c>
      <c r="E6" s="29">
        <v>317.15</v>
      </c>
      <c r="F6" s="43">
        <v>197.83</v>
      </c>
      <c r="G6" s="30">
        <v>670</v>
      </c>
      <c r="H6" s="37">
        <f>N6*0.8</f>
        <v>3036</v>
      </c>
      <c r="I6" s="40"/>
      <c r="J6" s="11"/>
      <c r="K6" s="12"/>
      <c r="M6">
        <v>869</v>
      </c>
      <c r="N6" s="34">
        <f aca="true" t="shared" si="0" ref="N6:N45">D6-M6-G6</f>
        <v>3795</v>
      </c>
      <c r="O6" s="35">
        <f>N6*0.8</f>
        <v>3036</v>
      </c>
    </row>
    <row r="7" spans="1:15" ht="15.75" thickBot="1">
      <c r="A7" s="10" t="s">
        <v>4</v>
      </c>
      <c r="B7" s="4" t="s">
        <v>8</v>
      </c>
      <c r="C7" s="16" t="s">
        <v>7</v>
      </c>
      <c r="D7" s="18">
        <v>1844</v>
      </c>
      <c r="E7" s="44">
        <f>321.5-65.69</f>
        <v>255.81</v>
      </c>
      <c r="F7" s="44">
        <f>57.02+65.69</f>
        <v>122.71000000000001</v>
      </c>
      <c r="G7" s="31">
        <v>336</v>
      </c>
      <c r="H7" s="37">
        <f aca="true" t="shared" si="1" ref="H7:H45">N7*0.8</f>
        <v>754.0799999999999</v>
      </c>
      <c r="I7" s="38"/>
      <c r="J7" s="9"/>
      <c r="K7" s="7"/>
      <c r="M7">
        <v>565.4</v>
      </c>
      <c r="N7" s="34">
        <f t="shared" si="0"/>
        <v>942.5999999999999</v>
      </c>
      <c r="O7" s="35">
        <f aca="true" t="shared" si="2" ref="O7:O50">N7*0.8</f>
        <v>754.0799999999999</v>
      </c>
    </row>
    <row r="8" spans="1:15" ht="15.75" thickBot="1">
      <c r="A8" s="10" t="s">
        <v>9</v>
      </c>
      <c r="B8" s="4" t="s">
        <v>49</v>
      </c>
      <c r="C8" s="16" t="s">
        <v>50</v>
      </c>
      <c r="D8" s="19">
        <v>2322</v>
      </c>
      <c r="E8" s="45">
        <f>319.42-72.91</f>
        <v>246.51000000000002</v>
      </c>
      <c r="F8" s="45">
        <f>57.91+72.91</f>
        <v>130.82</v>
      </c>
      <c r="G8" s="32">
        <f>210+70</f>
        <v>280</v>
      </c>
      <c r="H8" s="37">
        <f t="shared" si="1"/>
        <v>1198.8</v>
      </c>
      <c r="I8" s="38"/>
      <c r="J8" s="5"/>
      <c r="K8" s="6"/>
      <c r="M8">
        <v>543.5</v>
      </c>
      <c r="N8" s="34">
        <f t="shared" si="0"/>
        <v>1498.5</v>
      </c>
      <c r="O8" s="35">
        <f t="shared" si="2"/>
        <v>1198.8</v>
      </c>
    </row>
    <row r="9" spans="1:15" ht="15.75" thickBot="1">
      <c r="A9" s="10" t="s">
        <v>10</v>
      </c>
      <c r="B9" s="4" t="s">
        <v>51</v>
      </c>
      <c r="C9" s="16" t="s">
        <v>52</v>
      </c>
      <c r="D9" s="19">
        <v>2292</v>
      </c>
      <c r="E9" s="46">
        <f>309.5-68.72</f>
        <v>240.78</v>
      </c>
      <c r="F9" s="45">
        <f>52.05+68.72</f>
        <v>120.77</v>
      </c>
      <c r="G9" s="32">
        <v>172</v>
      </c>
      <c r="H9" s="37">
        <f t="shared" si="1"/>
        <v>1256</v>
      </c>
      <c r="I9" s="41"/>
      <c r="J9" s="5"/>
      <c r="K9" s="6"/>
      <c r="M9">
        <v>550</v>
      </c>
      <c r="N9" s="34">
        <f t="shared" si="0"/>
        <v>1570</v>
      </c>
      <c r="O9" s="35">
        <f t="shared" si="2"/>
        <v>1256</v>
      </c>
    </row>
    <row r="10" spans="1:15" ht="15.75" thickBot="1">
      <c r="A10" s="10" t="s">
        <v>11</v>
      </c>
      <c r="B10" s="4" t="s">
        <v>53</v>
      </c>
      <c r="C10" s="16" t="s">
        <v>54</v>
      </c>
      <c r="D10" s="19">
        <v>4348</v>
      </c>
      <c r="E10" s="45">
        <v>444.8</v>
      </c>
      <c r="F10" s="45">
        <v>197.24</v>
      </c>
      <c r="G10" s="32">
        <v>480</v>
      </c>
      <c r="H10" s="37">
        <f t="shared" si="1"/>
        <v>2381.6</v>
      </c>
      <c r="I10" s="38"/>
      <c r="J10" s="5"/>
      <c r="K10" s="6"/>
      <c r="M10">
        <v>891</v>
      </c>
      <c r="N10" s="34">
        <f t="shared" si="0"/>
        <v>2977</v>
      </c>
      <c r="O10" s="35">
        <f t="shared" si="2"/>
        <v>2381.6</v>
      </c>
    </row>
    <row r="11" spans="1:15" ht="15.75" thickBot="1">
      <c r="A11" s="10" t="s">
        <v>12</v>
      </c>
      <c r="B11" s="4" t="s">
        <v>55</v>
      </c>
      <c r="C11" s="16" t="s">
        <v>56</v>
      </c>
      <c r="D11" s="19">
        <v>1675</v>
      </c>
      <c r="E11" s="45">
        <v>255.44</v>
      </c>
      <c r="F11" s="45">
        <v>161.08</v>
      </c>
      <c r="G11" s="32">
        <v>255</v>
      </c>
      <c r="H11" s="37">
        <f t="shared" si="1"/>
        <v>696</v>
      </c>
      <c r="I11" s="41"/>
      <c r="J11" s="5"/>
      <c r="K11" s="6"/>
      <c r="M11">
        <v>550</v>
      </c>
      <c r="N11" s="34">
        <f t="shared" si="0"/>
        <v>870</v>
      </c>
      <c r="O11" s="35">
        <f t="shared" si="2"/>
        <v>696</v>
      </c>
    </row>
    <row r="12" spans="1:15" ht="15.75" thickBot="1">
      <c r="A12" s="10" t="s">
        <v>13</v>
      </c>
      <c r="B12" s="4" t="s">
        <v>57</v>
      </c>
      <c r="C12" s="16" t="s">
        <v>58</v>
      </c>
      <c r="D12" s="19">
        <v>2077</v>
      </c>
      <c r="E12" s="45">
        <v>256.66</v>
      </c>
      <c r="F12" s="45">
        <v>213.75</v>
      </c>
      <c r="G12" s="32">
        <f>270+182</f>
        <v>452</v>
      </c>
      <c r="H12" s="37">
        <f t="shared" si="1"/>
        <v>775.2</v>
      </c>
      <c r="I12" s="38"/>
      <c r="J12" s="5"/>
      <c r="K12" s="6"/>
      <c r="M12">
        <v>656</v>
      </c>
      <c r="N12" s="34">
        <f t="shared" si="0"/>
        <v>969</v>
      </c>
      <c r="O12" s="35">
        <f t="shared" si="2"/>
        <v>775.2</v>
      </c>
    </row>
    <row r="13" spans="1:15" ht="15.75" thickBot="1">
      <c r="A13" s="10" t="s">
        <v>14</v>
      </c>
      <c r="B13" s="4" t="s">
        <v>59</v>
      </c>
      <c r="C13" s="16" t="s">
        <v>60</v>
      </c>
      <c r="D13" s="19">
        <v>1874</v>
      </c>
      <c r="E13" s="45">
        <f>323.08-67.85</f>
        <v>255.23</v>
      </c>
      <c r="F13" s="45">
        <f>46.32+67.85</f>
        <v>114.16999999999999</v>
      </c>
      <c r="G13" s="32">
        <v>237</v>
      </c>
      <c r="H13" s="37">
        <f t="shared" si="1"/>
        <v>874.4000000000001</v>
      </c>
      <c r="I13" s="41"/>
      <c r="J13" s="5"/>
      <c r="K13" s="6"/>
      <c r="M13">
        <v>544</v>
      </c>
      <c r="N13" s="34">
        <f t="shared" si="0"/>
        <v>1093</v>
      </c>
      <c r="O13" s="35">
        <f t="shared" si="2"/>
        <v>874.4000000000001</v>
      </c>
    </row>
    <row r="14" spans="1:15" ht="15.75" thickBot="1">
      <c r="A14" s="10" t="s">
        <v>15</v>
      </c>
      <c r="B14" s="4" t="s">
        <v>61</v>
      </c>
      <c r="C14" s="16" t="s">
        <v>62</v>
      </c>
      <c r="D14" s="19">
        <v>2168</v>
      </c>
      <c r="E14" s="45">
        <f>320.62-70.61</f>
        <v>250.01</v>
      </c>
      <c r="F14" s="45">
        <f>55.85+70.61</f>
        <v>126.46000000000001</v>
      </c>
      <c r="G14" s="32">
        <f>235+99</f>
        <v>334</v>
      </c>
      <c r="H14" s="37">
        <f t="shared" si="1"/>
        <v>1028</v>
      </c>
      <c r="I14" s="38"/>
      <c r="J14" s="5"/>
      <c r="K14" s="6"/>
      <c r="M14">
        <v>549</v>
      </c>
      <c r="N14" s="34">
        <f t="shared" si="0"/>
        <v>1285</v>
      </c>
      <c r="O14" s="35">
        <f t="shared" si="2"/>
        <v>1028</v>
      </c>
    </row>
    <row r="15" spans="1:15" ht="15.75" thickBot="1">
      <c r="A15" s="10" t="s">
        <v>16</v>
      </c>
      <c r="B15" s="4" t="s">
        <v>63</v>
      </c>
      <c r="C15" s="16" t="s">
        <v>64</v>
      </c>
      <c r="D15" s="19">
        <v>2510</v>
      </c>
      <c r="E15" s="45">
        <f>298.4-69.65</f>
        <v>228.74999999999997</v>
      </c>
      <c r="F15" s="45">
        <f>56.51+69.65</f>
        <v>126.16</v>
      </c>
      <c r="G15" s="32">
        <v>253</v>
      </c>
      <c r="H15" s="37">
        <f t="shared" si="1"/>
        <v>1348.8000000000002</v>
      </c>
      <c r="I15" s="41"/>
      <c r="J15" s="5"/>
      <c r="K15" s="6"/>
      <c r="M15">
        <v>571</v>
      </c>
      <c r="N15" s="34">
        <f t="shared" si="0"/>
        <v>1686</v>
      </c>
      <c r="O15" s="35">
        <f t="shared" si="2"/>
        <v>1348.8000000000002</v>
      </c>
    </row>
    <row r="16" spans="1:15" ht="15.75" thickBot="1">
      <c r="A16" s="10" t="s">
        <v>17</v>
      </c>
      <c r="B16" s="4" t="s">
        <v>65</v>
      </c>
      <c r="C16" s="16" t="s">
        <v>66</v>
      </c>
      <c r="D16" s="19">
        <v>2006</v>
      </c>
      <c r="E16" s="45">
        <f>297.27-68.94</f>
        <v>228.32999999999998</v>
      </c>
      <c r="F16" s="45">
        <f>65.66+68.94</f>
        <v>134.6</v>
      </c>
      <c r="G16" s="32">
        <f>204+123</f>
        <v>327</v>
      </c>
      <c r="H16" s="37">
        <f t="shared" si="1"/>
        <v>900</v>
      </c>
      <c r="I16" s="38"/>
      <c r="J16" s="5"/>
      <c r="K16" s="6"/>
      <c r="M16">
        <v>554</v>
      </c>
      <c r="N16" s="34">
        <f t="shared" si="0"/>
        <v>1125</v>
      </c>
      <c r="O16" s="35">
        <f t="shared" si="2"/>
        <v>900</v>
      </c>
    </row>
    <row r="17" spans="1:15" ht="15.75" thickBot="1">
      <c r="A17" s="10" t="s">
        <v>18</v>
      </c>
      <c r="B17" s="4" t="s">
        <v>67</v>
      </c>
      <c r="C17" s="16" t="s">
        <v>68</v>
      </c>
      <c r="D17" s="19">
        <v>1813</v>
      </c>
      <c r="E17" s="45">
        <v>235.57</v>
      </c>
      <c r="F17" s="45">
        <v>162.44</v>
      </c>
      <c r="G17" s="32">
        <v>195</v>
      </c>
      <c r="H17" s="37">
        <f t="shared" si="1"/>
        <v>862.4000000000001</v>
      </c>
      <c r="I17" s="41"/>
      <c r="J17" s="5"/>
      <c r="K17" s="6"/>
      <c r="M17">
        <v>540</v>
      </c>
      <c r="N17" s="34">
        <f t="shared" si="0"/>
        <v>1078</v>
      </c>
      <c r="O17" s="35">
        <f t="shared" si="2"/>
        <v>862.4000000000001</v>
      </c>
    </row>
    <row r="18" spans="1:15" ht="15.75" thickBot="1">
      <c r="A18" s="10" t="s">
        <v>19</v>
      </c>
      <c r="B18" s="4" t="s">
        <v>69</v>
      </c>
      <c r="C18" s="16" t="s">
        <v>70</v>
      </c>
      <c r="D18" s="19">
        <v>1754</v>
      </c>
      <c r="E18" s="45">
        <f>324.62-22.03</f>
        <v>302.59000000000003</v>
      </c>
      <c r="F18" s="45">
        <f>9.6+22.03</f>
        <v>31.630000000000003</v>
      </c>
      <c r="G18" s="32">
        <f>191+368</f>
        <v>559</v>
      </c>
      <c r="H18" s="37">
        <f t="shared" si="1"/>
        <v>450.40000000000003</v>
      </c>
      <c r="I18" s="38"/>
      <c r="J18" s="5"/>
      <c r="K18" s="6"/>
      <c r="M18">
        <f>615+17</f>
        <v>632</v>
      </c>
      <c r="N18" s="34">
        <f t="shared" si="0"/>
        <v>563</v>
      </c>
      <c r="O18" s="35">
        <f t="shared" si="2"/>
        <v>450.40000000000003</v>
      </c>
    </row>
    <row r="19" spans="1:15" ht="15.75" thickBot="1">
      <c r="A19" s="10" t="s">
        <v>20</v>
      </c>
      <c r="B19" s="4" t="s">
        <v>71</v>
      </c>
      <c r="C19" s="16" t="s">
        <v>72</v>
      </c>
      <c r="D19" s="19">
        <v>3972</v>
      </c>
      <c r="E19" s="45">
        <f>359.42-107.01</f>
        <v>252.41000000000003</v>
      </c>
      <c r="F19" s="45">
        <f>76.55+107.01</f>
        <v>183.56</v>
      </c>
      <c r="G19" s="32">
        <v>455</v>
      </c>
      <c r="H19" s="37">
        <f t="shared" si="1"/>
        <v>2272.8</v>
      </c>
      <c r="I19" s="41"/>
      <c r="J19" s="5"/>
      <c r="K19" s="6"/>
      <c r="M19">
        <v>676</v>
      </c>
      <c r="N19" s="34">
        <f t="shared" si="0"/>
        <v>2841</v>
      </c>
      <c r="O19" s="35">
        <f t="shared" si="2"/>
        <v>2272.8</v>
      </c>
    </row>
    <row r="20" spans="1:15" ht="15.75" thickBot="1">
      <c r="A20" s="10" t="s">
        <v>21</v>
      </c>
      <c r="B20" s="4" t="s">
        <v>73</v>
      </c>
      <c r="C20" s="16" t="s">
        <v>74</v>
      </c>
      <c r="D20" s="19">
        <v>2552</v>
      </c>
      <c r="E20" s="45">
        <v>322.96</v>
      </c>
      <c r="F20" s="45">
        <v>235.91</v>
      </c>
      <c r="G20" s="31">
        <v>409</v>
      </c>
      <c r="H20" s="37">
        <f t="shared" si="1"/>
        <v>1014.4000000000001</v>
      </c>
      <c r="I20" s="38"/>
      <c r="J20" s="9"/>
      <c r="K20" s="7"/>
      <c r="M20">
        <v>875</v>
      </c>
      <c r="N20" s="34">
        <f t="shared" si="0"/>
        <v>1268</v>
      </c>
      <c r="O20" s="35">
        <f t="shared" si="2"/>
        <v>1014.4000000000001</v>
      </c>
    </row>
    <row r="21" spans="1:15" ht="15.75" thickBot="1">
      <c r="A21" s="10" t="s">
        <v>22</v>
      </c>
      <c r="B21" s="4" t="s">
        <v>75</v>
      </c>
      <c r="C21" s="16" t="s">
        <v>76</v>
      </c>
      <c r="D21" s="19">
        <v>2535</v>
      </c>
      <c r="E21" s="45">
        <v>411.67</v>
      </c>
      <c r="F21" s="45">
        <v>347.4</v>
      </c>
      <c r="G21" s="32">
        <v>447</v>
      </c>
      <c r="H21" s="37">
        <f t="shared" si="1"/>
        <v>918.0799999999999</v>
      </c>
      <c r="I21" s="41"/>
      <c r="J21" s="5"/>
      <c r="K21" s="6"/>
      <c r="M21">
        <v>940.4</v>
      </c>
      <c r="N21" s="34">
        <f t="shared" si="0"/>
        <v>1147.6</v>
      </c>
      <c r="O21" s="35">
        <f t="shared" si="2"/>
        <v>918.0799999999999</v>
      </c>
    </row>
    <row r="22" spans="1:15" ht="15.75" thickBot="1">
      <c r="A22" s="10" t="s">
        <v>23</v>
      </c>
      <c r="B22" s="4" t="s">
        <v>77</v>
      </c>
      <c r="C22" s="16" t="s">
        <v>78</v>
      </c>
      <c r="D22" s="19">
        <v>2333</v>
      </c>
      <c r="E22" s="45">
        <f>270.21-65.83</f>
        <v>204.38</v>
      </c>
      <c r="F22" s="45">
        <f>82.85+65.83</f>
        <v>148.68</v>
      </c>
      <c r="G22" s="32">
        <v>290</v>
      </c>
      <c r="H22" s="37">
        <f t="shared" si="1"/>
        <v>1274.4</v>
      </c>
      <c r="I22" s="38"/>
      <c r="J22" s="5"/>
      <c r="K22" s="6"/>
      <c r="M22">
        <v>450</v>
      </c>
      <c r="N22" s="34">
        <f t="shared" si="0"/>
        <v>1593</v>
      </c>
      <c r="O22" s="35">
        <f t="shared" si="2"/>
        <v>1274.4</v>
      </c>
    </row>
    <row r="23" spans="1:15" ht="15.75" thickBot="1">
      <c r="A23" s="10" t="s">
        <v>24</v>
      </c>
      <c r="B23" s="4" t="s">
        <v>79</v>
      </c>
      <c r="C23" s="16" t="s">
        <v>80</v>
      </c>
      <c r="D23" s="19">
        <v>1998</v>
      </c>
      <c r="E23" s="45">
        <v>253.51</v>
      </c>
      <c r="F23" s="45">
        <v>115.09</v>
      </c>
      <c r="G23" s="32">
        <v>195</v>
      </c>
      <c r="H23" s="37">
        <f t="shared" si="1"/>
        <v>997.216</v>
      </c>
      <c r="I23" s="41"/>
      <c r="J23" s="5"/>
      <c r="K23" s="6"/>
      <c r="M23">
        <v>556.48</v>
      </c>
      <c r="N23" s="34">
        <f t="shared" si="0"/>
        <v>1246.52</v>
      </c>
      <c r="O23" s="35">
        <f t="shared" si="2"/>
        <v>997.216</v>
      </c>
    </row>
    <row r="24" spans="1:15" ht="15.75" thickBot="1">
      <c r="A24" s="10" t="s">
        <v>25</v>
      </c>
      <c r="B24" s="4" t="s">
        <v>81</v>
      </c>
      <c r="C24" s="16" t="s">
        <v>82</v>
      </c>
      <c r="D24" s="19">
        <v>2161</v>
      </c>
      <c r="E24" s="45">
        <f>274.7-92.48</f>
        <v>182.21999999999997</v>
      </c>
      <c r="F24" s="45">
        <f>70.22+92.48</f>
        <v>162.7</v>
      </c>
      <c r="G24" s="32">
        <f>184+73</f>
        <v>257</v>
      </c>
      <c r="H24" s="37">
        <f t="shared" si="1"/>
        <v>1059.7040000000002</v>
      </c>
      <c r="I24" s="38"/>
      <c r="J24" s="5"/>
      <c r="K24" s="6"/>
      <c r="M24">
        <v>579.37</v>
      </c>
      <c r="N24" s="34">
        <f t="shared" si="0"/>
        <v>1324.63</v>
      </c>
      <c r="O24" s="35">
        <f t="shared" si="2"/>
        <v>1059.7040000000002</v>
      </c>
    </row>
    <row r="25" spans="1:15" ht="15.75" thickBot="1">
      <c r="A25" s="10" t="s">
        <v>26</v>
      </c>
      <c r="B25" s="4" t="s">
        <v>83</v>
      </c>
      <c r="C25" s="16" t="s">
        <v>84</v>
      </c>
      <c r="D25" s="19">
        <v>2116</v>
      </c>
      <c r="E25" s="45">
        <f>323.58-69.7</f>
        <v>253.88</v>
      </c>
      <c r="F25" s="45">
        <f>31.54+69.7</f>
        <v>101.24000000000001</v>
      </c>
      <c r="G25" s="32">
        <v>222</v>
      </c>
      <c r="H25" s="37">
        <f t="shared" si="1"/>
        <v>1074.432</v>
      </c>
      <c r="I25" s="41"/>
      <c r="J25" s="5"/>
      <c r="K25" s="6"/>
      <c r="M25">
        <v>550.96</v>
      </c>
      <c r="N25" s="34">
        <f t="shared" si="0"/>
        <v>1343.04</v>
      </c>
      <c r="O25" s="35">
        <f t="shared" si="2"/>
        <v>1074.432</v>
      </c>
    </row>
    <row r="26" spans="1:15" ht="15.75" thickBot="1">
      <c r="A26" s="10" t="s">
        <v>27</v>
      </c>
      <c r="B26" s="4" t="s">
        <v>85</v>
      </c>
      <c r="C26" s="16" t="s">
        <v>86</v>
      </c>
      <c r="D26" s="19">
        <v>1825</v>
      </c>
      <c r="E26" s="45">
        <v>185.69</v>
      </c>
      <c r="F26" s="45">
        <v>158.68</v>
      </c>
      <c r="G26" s="32">
        <v>102</v>
      </c>
      <c r="H26" s="37">
        <f t="shared" si="1"/>
        <v>916.7040000000002</v>
      </c>
      <c r="I26" s="38"/>
      <c r="J26" s="5"/>
      <c r="K26" s="6"/>
      <c r="M26">
        <v>577.12</v>
      </c>
      <c r="N26" s="34">
        <f t="shared" si="0"/>
        <v>1145.88</v>
      </c>
      <c r="O26" s="35">
        <f t="shared" si="2"/>
        <v>916.7040000000002</v>
      </c>
    </row>
    <row r="27" spans="1:15" ht="15.75" thickBot="1">
      <c r="A27" s="10" t="s">
        <v>28</v>
      </c>
      <c r="B27" s="4" t="s">
        <v>87</v>
      </c>
      <c r="C27" s="16" t="s">
        <v>88</v>
      </c>
      <c r="D27" s="19">
        <v>1807</v>
      </c>
      <c r="E27" s="45">
        <f>242.12-63.73</f>
        <v>178.39000000000001</v>
      </c>
      <c r="F27" s="45">
        <f>54.31+63.73</f>
        <v>118.03999999999999</v>
      </c>
      <c r="G27" s="32">
        <v>161</v>
      </c>
      <c r="H27" s="37">
        <f t="shared" si="1"/>
        <v>931.2</v>
      </c>
      <c r="I27" s="41"/>
      <c r="J27" s="5"/>
      <c r="K27" s="6"/>
      <c r="M27">
        <v>482</v>
      </c>
      <c r="N27" s="34">
        <f t="shared" si="0"/>
        <v>1164</v>
      </c>
      <c r="O27" s="35">
        <f t="shared" si="2"/>
        <v>931.2</v>
      </c>
    </row>
    <row r="28" spans="1:15" ht="15.75" thickBot="1">
      <c r="A28" s="10" t="s">
        <v>29</v>
      </c>
      <c r="B28" s="4" t="s">
        <v>89</v>
      </c>
      <c r="C28" s="16" t="s">
        <v>90</v>
      </c>
      <c r="D28" s="19">
        <v>2647</v>
      </c>
      <c r="E28" s="45">
        <v>147.32</v>
      </c>
      <c r="F28" s="45">
        <v>207.12</v>
      </c>
      <c r="G28" s="3">
        <f>534+298</f>
        <v>832</v>
      </c>
      <c r="H28" s="37">
        <f t="shared" si="1"/>
        <v>1006.4000000000001</v>
      </c>
      <c r="I28" s="38"/>
      <c r="J28" s="5"/>
      <c r="K28" s="6"/>
      <c r="M28">
        <v>557</v>
      </c>
      <c r="N28" s="34">
        <f t="shared" si="0"/>
        <v>1258</v>
      </c>
      <c r="O28" s="35">
        <f t="shared" si="2"/>
        <v>1006.4000000000001</v>
      </c>
    </row>
    <row r="29" spans="1:15" ht="15.75" thickBot="1">
      <c r="A29" s="10" t="s">
        <v>30</v>
      </c>
      <c r="B29" s="4" t="s">
        <v>91</v>
      </c>
      <c r="C29" s="16" t="s">
        <v>92</v>
      </c>
      <c r="D29" s="19">
        <v>2204</v>
      </c>
      <c r="E29" s="45">
        <v>145.52</v>
      </c>
      <c r="F29" s="45">
        <f>96.78+110.86</f>
        <v>207.64</v>
      </c>
      <c r="G29" s="3">
        <v>247</v>
      </c>
      <c r="H29" s="37">
        <f t="shared" si="1"/>
        <v>1173.6000000000001</v>
      </c>
      <c r="I29" s="41"/>
      <c r="J29" s="5"/>
      <c r="K29" s="6"/>
      <c r="M29">
        <v>490</v>
      </c>
      <c r="N29" s="34">
        <f t="shared" si="0"/>
        <v>1467</v>
      </c>
      <c r="O29" s="35">
        <f t="shared" si="2"/>
        <v>1173.6000000000001</v>
      </c>
    </row>
    <row r="30" spans="1:15" ht="15.75" thickBot="1">
      <c r="A30" s="10" t="s">
        <v>31</v>
      </c>
      <c r="B30" s="4" t="s">
        <v>93</v>
      </c>
      <c r="C30" s="16" t="s">
        <v>94</v>
      </c>
      <c r="D30" s="19">
        <v>2403</v>
      </c>
      <c r="E30" s="45">
        <v>145.52</v>
      </c>
      <c r="F30" s="45">
        <v>207.64</v>
      </c>
      <c r="G30" s="3">
        <v>443</v>
      </c>
      <c r="H30" s="37">
        <f t="shared" si="1"/>
        <v>1105.6000000000001</v>
      </c>
      <c r="I30" s="38"/>
      <c r="J30" s="5"/>
      <c r="K30" s="6"/>
      <c r="M30">
        <v>578</v>
      </c>
      <c r="N30" s="34">
        <f t="shared" si="0"/>
        <v>1382</v>
      </c>
      <c r="O30" s="35">
        <f t="shared" si="2"/>
        <v>1105.6000000000001</v>
      </c>
    </row>
    <row r="31" spans="1:15" ht="15.75" thickBot="1">
      <c r="A31" s="10" t="s">
        <v>32</v>
      </c>
      <c r="B31" s="4" t="s">
        <v>95</v>
      </c>
      <c r="C31" s="16" t="s">
        <v>96</v>
      </c>
      <c r="D31" s="19">
        <v>2305</v>
      </c>
      <c r="E31" s="45">
        <f>251.59-62.66</f>
        <v>188.93</v>
      </c>
      <c r="F31" s="45">
        <f>52.04+62.66</f>
        <v>114.69999999999999</v>
      </c>
      <c r="G31" s="3">
        <f>196+183</f>
        <v>379</v>
      </c>
      <c r="H31" s="37">
        <f t="shared" si="1"/>
        <v>1144</v>
      </c>
      <c r="I31" s="41"/>
      <c r="J31" s="5"/>
      <c r="K31" s="6"/>
      <c r="M31">
        <v>496</v>
      </c>
      <c r="N31" s="34">
        <f t="shared" si="0"/>
        <v>1430</v>
      </c>
      <c r="O31" s="35">
        <f t="shared" si="2"/>
        <v>1144</v>
      </c>
    </row>
    <row r="32" spans="1:15" ht="15.75" thickBot="1">
      <c r="A32" s="10" t="s">
        <v>33</v>
      </c>
      <c r="B32" s="4" t="s">
        <v>97</v>
      </c>
      <c r="C32" s="16" t="s">
        <v>98</v>
      </c>
      <c r="D32" s="19">
        <v>2432</v>
      </c>
      <c r="E32" s="45">
        <v>147.8</v>
      </c>
      <c r="F32" s="45">
        <v>211.28</v>
      </c>
      <c r="G32" s="3">
        <f>556+64.7</f>
        <v>620.7</v>
      </c>
      <c r="H32" s="37">
        <f t="shared" si="1"/>
        <v>980.24</v>
      </c>
      <c r="I32" s="38"/>
      <c r="J32" s="5"/>
      <c r="K32" s="6"/>
      <c r="M32">
        <v>586</v>
      </c>
      <c r="N32" s="34">
        <f t="shared" si="0"/>
        <v>1225.3</v>
      </c>
      <c r="O32" s="35">
        <f t="shared" si="2"/>
        <v>980.24</v>
      </c>
    </row>
    <row r="33" spans="1:15" ht="15.75" thickBot="1">
      <c r="A33" s="10" t="s">
        <v>34</v>
      </c>
      <c r="B33" s="4" t="s">
        <v>99</v>
      </c>
      <c r="C33" s="16" t="s">
        <v>100</v>
      </c>
      <c r="D33" s="19">
        <v>2108</v>
      </c>
      <c r="E33" s="45">
        <v>271.74</v>
      </c>
      <c r="F33" s="45">
        <v>197.35</v>
      </c>
      <c r="G33" s="3">
        <v>108</v>
      </c>
      <c r="H33" s="37">
        <f t="shared" si="1"/>
        <v>1049.6000000000001</v>
      </c>
      <c r="I33" s="41"/>
      <c r="J33" s="5"/>
      <c r="K33" s="6"/>
      <c r="M33">
        <v>688</v>
      </c>
      <c r="N33" s="34">
        <f t="shared" si="0"/>
        <v>1312</v>
      </c>
      <c r="O33" s="35">
        <f t="shared" si="2"/>
        <v>1049.6000000000001</v>
      </c>
    </row>
    <row r="34" spans="1:15" ht="15.75" thickBot="1">
      <c r="A34" s="10" t="s">
        <v>35</v>
      </c>
      <c r="B34" s="4" t="s">
        <v>101</v>
      </c>
      <c r="C34" s="16" t="s">
        <v>102</v>
      </c>
      <c r="D34" s="19">
        <v>3759</v>
      </c>
      <c r="E34" s="45">
        <v>389.91</v>
      </c>
      <c r="F34" s="45">
        <v>368.03</v>
      </c>
      <c r="G34" s="3">
        <f>118+253</f>
        <v>371</v>
      </c>
      <c r="H34" s="37">
        <f t="shared" si="1"/>
        <v>1872.8000000000002</v>
      </c>
      <c r="I34" s="38"/>
      <c r="J34" s="5"/>
      <c r="K34" s="6"/>
      <c r="M34">
        <v>1047</v>
      </c>
      <c r="N34" s="34">
        <f t="shared" si="0"/>
        <v>2341</v>
      </c>
      <c r="O34" s="35">
        <f t="shared" si="2"/>
        <v>1872.8000000000002</v>
      </c>
    </row>
    <row r="35" spans="1:15" ht="15.75" thickBot="1">
      <c r="A35" s="10" t="s">
        <v>36</v>
      </c>
      <c r="B35" s="4" t="s">
        <v>103</v>
      </c>
      <c r="C35" s="16" t="s">
        <v>104</v>
      </c>
      <c r="D35" s="47">
        <v>1907</v>
      </c>
      <c r="E35" s="45">
        <f>310.75-95.67</f>
        <v>215.07999999999998</v>
      </c>
      <c r="F35" s="45">
        <f>131.84+95.67</f>
        <v>227.51</v>
      </c>
      <c r="G35" s="3">
        <v>84</v>
      </c>
      <c r="H35" s="37">
        <f t="shared" si="1"/>
        <v>1048</v>
      </c>
      <c r="I35" s="41"/>
      <c r="J35" s="5"/>
      <c r="K35" s="6"/>
      <c r="M35">
        <v>513</v>
      </c>
      <c r="N35" s="34">
        <f t="shared" si="0"/>
        <v>1310</v>
      </c>
      <c r="O35" s="35">
        <f t="shared" si="2"/>
        <v>1048</v>
      </c>
    </row>
    <row r="36" spans="1:15" ht="15.75" thickBot="1">
      <c r="A36" s="10" t="s">
        <v>37</v>
      </c>
      <c r="B36" s="4" t="s">
        <v>105</v>
      </c>
      <c r="C36" s="16" t="s">
        <v>106</v>
      </c>
      <c r="D36" s="47">
        <v>1720</v>
      </c>
      <c r="E36" s="45">
        <f>350.33-102.84</f>
        <v>247.48999999999998</v>
      </c>
      <c r="F36" s="45">
        <v>234.85</v>
      </c>
      <c r="G36" s="3">
        <v>103</v>
      </c>
      <c r="H36" s="37">
        <f t="shared" si="1"/>
        <v>844.408</v>
      </c>
      <c r="I36" s="38"/>
      <c r="J36" s="5"/>
      <c r="K36" s="6"/>
      <c r="M36">
        <v>561.49</v>
      </c>
      <c r="N36" s="34">
        <f t="shared" si="0"/>
        <v>1055.51</v>
      </c>
      <c r="O36" s="35">
        <f t="shared" si="2"/>
        <v>844.408</v>
      </c>
    </row>
    <row r="37" spans="1:15" ht="15.75" thickBot="1">
      <c r="A37" s="10" t="s">
        <v>38</v>
      </c>
      <c r="B37" s="4" t="s">
        <v>107</v>
      </c>
      <c r="C37" s="16" t="s">
        <v>108</v>
      </c>
      <c r="D37" s="47">
        <v>2772</v>
      </c>
      <c r="E37" s="45">
        <f>378.28-134.56</f>
        <v>243.71999999999997</v>
      </c>
      <c r="F37" s="45">
        <f>152.67+134.56</f>
        <v>287.23</v>
      </c>
      <c r="G37" s="3">
        <v>563</v>
      </c>
      <c r="H37" s="37">
        <f t="shared" si="1"/>
        <v>1245.144</v>
      </c>
      <c r="I37" s="41"/>
      <c r="J37" s="5"/>
      <c r="K37" s="6"/>
      <c r="M37">
        <v>652.57</v>
      </c>
      <c r="N37" s="34">
        <f t="shared" si="0"/>
        <v>1556.4299999999998</v>
      </c>
      <c r="O37" s="35">
        <f t="shared" si="2"/>
        <v>1245.144</v>
      </c>
    </row>
    <row r="38" spans="1:15" ht="15.75" thickBot="1">
      <c r="A38" s="10" t="s">
        <v>39</v>
      </c>
      <c r="B38" s="4" t="s">
        <v>109</v>
      </c>
      <c r="C38" s="16" t="s">
        <v>110</v>
      </c>
      <c r="D38" s="47">
        <v>1947</v>
      </c>
      <c r="E38" s="45">
        <f>259.72-79.05</f>
        <v>180.67000000000002</v>
      </c>
      <c r="F38" s="45">
        <f>107.67+79.05</f>
        <v>186.72</v>
      </c>
      <c r="G38" s="3">
        <v>217</v>
      </c>
      <c r="H38" s="37">
        <f t="shared" si="1"/>
        <v>996.6880000000001</v>
      </c>
      <c r="I38" s="38"/>
      <c r="J38" s="5"/>
      <c r="K38" s="6"/>
      <c r="M38">
        <v>484.14</v>
      </c>
      <c r="N38" s="34">
        <f t="shared" si="0"/>
        <v>1245.8600000000001</v>
      </c>
      <c r="O38" s="35">
        <f t="shared" si="2"/>
        <v>996.6880000000001</v>
      </c>
    </row>
    <row r="39" spans="1:15" ht="15.75" thickBot="1">
      <c r="A39" s="10" t="s">
        <v>40</v>
      </c>
      <c r="B39" s="4" t="s">
        <v>111</v>
      </c>
      <c r="C39" s="16" t="s">
        <v>112</v>
      </c>
      <c r="D39" s="47">
        <v>2621</v>
      </c>
      <c r="E39" s="45">
        <v>385.81</v>
      </c>
      <c r="F39" s="45">
        <v>159.91</v>
      </c>
      <c r="G39" s="3">
        <f>273+234</f>
        <v>507</v>
      </c>
      <c r="H39" s="37">
        <f t="shared" si="1"/>
        <v>896</v>
      </c>
      <c r="I39" s="41"/>
      <c r="J39" s="5"/>
      <c r="K39" s="6"/>
      <c r="M39">
        <v>994</v>
      </c>
      <c r="N39" s="34">
        <f t="shared" si="0"/>
        <v>1120</v>
      </c>
      <c r="O39" s="35">
        <f t="shared" si="2"/>
        <v>896</v>
      </c>
    </row>
    <row r="40" spans="1:15" ht="15.75" thickBot="1">
      <c r="A40" s="10" t="s">
        <v>41</v>
      </c>
      <c r="B40" s="4" t="s">
        <v>113</v>
      </c>
      <c r="C40" s="16" t="s">
        <v>114</v>
      </c>
      <c r="D40" s="47">
        <v>2389</v>
      </c>
      <c r="E40" s="45">
        <f>287.61-75.47</f>
        <v>212.14000000000001</v>
      </c>
      <c r="F40" s="45">
        <f>75.23+75.47</f>
        <v>150.7</v>
      </c>
      <c r="G40" s="3">
        <v>390</v>
      </c>
      <c r="H40" s="37">
        <f t="shared" si="1"/>
        <v>1181.6000000000001</v>
      </c>
      <c r="I40" s="38"/>
      <c r="J40" s="5"/>
      <c r="K40" s="6"/>
      <c r="M40">
        <v>522</v>
      </c>
      <c r="N40" s="34">
        <f t="shared" si="0"/>
        <v>1477</v>
      </c>
      <c r="O40" s="35">
        <f t="shared" si="2"/>
        <v>1181.6000000000001</v>
      </c>
    </row>
    <row r="41" spans="1:15" ht="15.75" thickBot="1">
      <c r="A41" s="10" t="s">
        <v>42</v>
      </c>
      <c r="B41" s="4" t="s">
        <v>115</v>
      </c>
      <c r="C41" s="16" t="s">
        <v>116</v>
      </c>
      <c r="D41" s="47">
        <v>1466</v>
      </c>
      <c r="E41" s="45">
        <f>262.42-81.54</f>
        <v>180.88</v>
      </c>
      <c r="F41" s="45">
        <f>104.86+81.54</f>
        <v>186.4</v>
      </c>
      <c r="G41" s="3">
        <f>123+76</f>
        <v>199</v>
      </c>
      <c r="H41" s="37">
        <f t="shared" si="1"/>
        <v>624</v>
      </c>
      <c r="I41" s="41"/>
      <c r="J41" s="5"/>
      <c r="K41" s="6"/>
      <c r="M41">
        <v>487</v>
      </c>
      <c r="N41" s="34">
        <f t="shared" si="0"/>
        <v>780</v>
      </c>
      <c r="O41" s="35">
        <f t="shared" si="2"/>
        <v>624</v>
      </c>
    </row>
    <row r="42" spans="1:15" ht="15.75" thickBot="1">
      <c r="A42" s="10" t="s">
        <v>43</v>
      </c>
      <c r="B42" s="4" t="s">
        <v>117</v>
      </c>
      <c r="C42" s="16" t="s">
        <v>118</v>
      </c>
      <c r="D42" s="47">
        <v>2097</v>
      </c>
      <c r="E42" s="45">
        <f>206.83-71.35</f>
        <v>135.48000000000002</v>
      </c>
      <c r="F42" s="45">
        <f>88.4+71.35</f>
        <v>159.75</v>
      </c>
      <c r="G42" s="3">
        <f>342+190</f>
        <v>532</v>
      </c>
      <c r="H42" s="37">
        <f t="shared" si="1"/>
        <v>784.8000000000001</v>
      </c>
      <c r="I42" s="38"/>
      <c r="J42" s="5"/>
      <c r="K42" s="6"/>
      <c r="M42">
        <v>584</v>
      </c>
      <c r="N42" s="34">
        <f t="shared" si="0"/>
        <v>981</v>
      </c>
      <c r="O42" s="35">
        <f t="shared" si="2"/>
        <v>784.8000000000001</v>
      </c>
    </row>
    <row r="43" spans="1:15" ht="15.75" thickBot="1">
      <c r="A43" s="10" t="s">
        <v>44</v>
      </c>
      <c r="B43" s="4" t="s">
        <v>119</v>
      </c>
      <c r="C43" s="16" t="s">
        <v>120</v>
      </c>
      <c r="D43" s="47">
        <v>2270</v>
      </c>
      <c r="E43" s="45">
        <v>146.66</v>
      </c>
      <c r="F43" s="45">
        <v>108.11</v>
      </c>
      <c r="G43" s="3">
        <v>586</v>
      </c>
      <c r="H43" s="37">
        <f t="shared" si="1"/>
        <v>841.6</v>
      </c>
      <c r="I43" s="41"/>
      <c r="J43" s="5"/>
      <c r="K43" s="6"/>
      <c r="M43">
        <v>632</v>
      </c>
      <c r="N43" s="34">
        <f t="shared" si="0"/>
        <v>1052</v>
      </c>
      <c r="O43" s="35">
        <f t="shared" si="2"/>
        <v>841.6</v>
      </c>
    </row>
    <row r="44" spans="1:15" ht="15.75" thickBot="1">
      <c r="A44" s="10" t="s">
        <v>45</v>
      </c>
      <c r="B44" s="4" t="s">
        <v>124</v>
      </c>
      <c r="C44" s="16" t="s">
        <v>121</v>
      </c>
      <c r="D44" s="47">
        <v>4351</v>
      </c>
      <c r="E44" s="45">
        <v>342.79</v>
      </c>
      <c r="F44" s="45">
        <v>183.65</v>
      </c>
      <c r="G44" s="3">
        <f>507+147</f>
        <v>654</v>
      </c>
      <c r="H44" s="37">
        <f t="shared" si="1"/>
        <v>2291.528</v>
      </c>
      <c r="I44" s="38"/>
      <c r="J44" s="5"/>
      <c r="K44" s="6"/>
      <c r="M44">
        <v>832.59</v>
      </c>
      <c r="N44" s="34">
        <f t="shared" si="0"/>
        <v>2864.41</v>
      </c>
      <c r="O44" s="35">
        <f t="shared" si="2"/>
        <v>2291.528</v>
      </c>
    </row>
    <row r="45" spans="1:15" ht="15.75" thickBot="1">
      <c r="A45" s="10" t="s">
        <v>46</v>
      </c>
      <c r="B45" s="4" t="s">
        <v>122</v>
      </c>
      <c r="C45" s="16" t="s">
        <v>123</v>
      </c>
      <c r="D45" s="47">
        <v>4347</v>
      </c>
      <c r="E45" s="45">
        <v>330.38</v>
      </c>
      <c r="F45" s="45">
        <v>288.77</v>
      </c>
      <c r="G45" s="3">
        <f>661+76</f>
        <v>737</v>
      </c>
      <c r="H45" s="38">
        <f t="shared" si="1"/>
        <v>1971.848</v>
      </c>
      <c r="I45" s="42"/>
      <c r="J45" s="5"/>
      <c r="K45" s="6"/>
      <c r="M45">
        <v>1145.19</v>
      </c>
      <c r="N45" s="34">
        <f t="shared" si="0"/>
        <v>2464.81</v>
      </c>
      <c r="O45" s="35">
        <f t="shared" si="2"/>
        <v>1971.848</v>
      </c>
    </row>
    <row r="46" spans="1:15" ht="15.75" thickBot="1">
      <c r="A46" s="10" t="s">
        <v>125</v>
      </c>
      <c r="B46" s="25" t="s">
        <v>130</v>
      </c>
      <c r="C46" s="28" t="s">
        <v>131</v>
      </c>
      <c r="D46" s="48">
        <v>11186</v>
      </c>
      <c r="E46" s="45">
        <v>0</v>
      </c>
      <c r="F46" s="45">
        <v>0</v>
      </c>
      <c r="G46" s="3">
        <v>7900</v>
      </c>
      <c r="H46" s="3">
        <f>(D46-G46)*0.8</f>
        <v>2628.8</v>
      </c>
      <c r="I46" s="3"/>
      <c r="J46" s="5"/>
      <c r="K46" s="6"/>
      <c r="N46" s="34">
        <f>D46-M46-G46</f>
        <v>3286</v>
      </c>
      <c r="O46" s="35">
        <f t="shared" si="2"/>
        <v>2628.8</v>
      </c>
    </row>
    <row r="47" spans="1:15" ht="15.75" thickBot="1">
      <c r="A47" s="10" t="s">
        <v>126</v>
      </c>
      <c r="B47" s="25" t="s">
        <v>130</v>
      </c>
      <c r="C47" s="28" t="s">
        <v>132</v>
      </c>
      <c r="D47" s="48">
        <v>310</v>
      </c>
      <c r="E47" s="45">
        <v>0</v>
      </c>
      <c r="F47" s="45">
        <v>0</v>
      </c>
      <c r="G47" s="3">
        <v>313</v>
      </c>
      <c r="H47" s="3">
        <v>0</v>
      </c>
      <c r="I47" s="3"/>
      <c r="J47" s="5"/>
      <c r="K47" s="6"/>
      <c r="N47" s="34">
        <f>D47-M47-G47</f>
        <v>-3</v>
      </c>
      <c r="O47" s="35">
        <f t="shared" si="2"/>
        <v>-2.4000000000000004</v>
      </c>
    </row>
    <row r="48" spans="1:15" ht="15.75" thickBot="1">
      <c r="A48" s="10" t="s">
        <v>127</v>
      </c>
      <c r="B48" s="25" t="s">
        <v>133</v>
      </c>
      <c r="C48" s="23" t="s">
        <v>134</v>
      </c>
      <c r="D48" s="24">
        <v>7218</v>
      </c>
      <c r="E48" s="45">
        <v>0</v>
      </c>
      <c r="F48" s="45">
        <v>0</v>
      </c>
      <c r="G48" s="3">
        <f>7218*0.8</f>
        <v>5774.400000000001</v>
      </c>
      <c r="H48" s="3">
        <f>(D48-G48)*0.8</f>
        <v>1154.8799999999997</v>
      </c>
      <c r="I48" s="3"/>
      <c r="J48" s="5"/>
      <c r="K48" s="6"/>
      <c r="N48" s="34">
        <f>D48-M48-G48</f>
        <v>1443.5999999999995</v>
      </c>
      <c r="O48" s="35">
        <f t="shared" si="2"/>
        <v>1154.8799999999997</v>
      </c>
    </row>
    <row r="49" spans="1:15" ht="15.75" thickBot="1">
      <c r="A49" s="10" t="s">
        <v>128</v>
      </c>
      <c r="B49" s="26" t="s">
        <v>135</v>
      </c>
      <c r="C49" s="27" t="s">
        <v>137</v>
      </c>
      <c r="D49" s="22">
        <v>8130</v>
      </c>
      <c r="E49" s="45">
        <v>0</v>
      </c>
      <c r="F49" s="45">
        <v>0</v>
      </c>
      <c r="G49" s="3">
        <v>8130</v>
      </c>
      <c r="H49" s="3">
        <v>0</v>
      </c>
      <c r="I49" s="3"/>
      <c r="J49" s="5"/>
      <c r="K49" s="6"/>
      <c r="N49" s="34">
        <f>D49-M49-G49</f>
        <v>0</v>
      </c>
      <c r="O49" s="35">
        <f t="shared" si="2"/>
        <v>0</v>
      </c>
    </row>
    <row r="50" spans="1:15" ht="15.75" thickBot="1">
      <c r="A50" s="10" t="s">
        <v>129</v>
      </c>
      <c r="B50" s="25" t="s">
        <v>135</v>
      </c>
      <c r="C50" s="27" t="s">
        <v>136</v>
      </c>
      <c r="D50" s="22">
        <v>254</v>
      </c>
      <c r="E50" s="45">
        <v>0</v>
      </c>
      <c r="F50" s="45">
        <v>0</v>
      </c>
      <c r="G50" s="3">
        <v>200</v>
      </c>
      <c r="H50" s="3">
        <f>(D50-G50)*0.8</f>
        <v>43.2</v>
      </c>
      <c r="I50" s="3"/>
      <c r="J50" s="5"/>
      <c r="K50" s="6"/>
      <c r="N50" s="34">
        <f>D50-M50-G50</f>
        <v>54</v>
      </c>
      <c r="O50" s="35">
        <f t="shared" si="2"/>
        <v>43.2</v>
      </c>
    </row>
    <row r="51" spans="1:15" ht="15.75" thickBot="1">
      <c r="A51" s="10" t="s">
        <v>138</v>
      </c>
      <c r="B51" s="25" t="s">
        <v>135</v>
      </c>
      <c r="C51" s="27" t="s">
        <v>151</v>
      </c>
      <c r="D51" s="22">
        <v>1061</v>
      </c>
      <c r="E51" s="45">
        <v>0</v>
      </c>
      <c r="F51" s="45">
        <v>0</v>
      </c>
      <c r="G51" s="22">
        <v>1061</v>
      </c>
      <c r="H51" s="3">
        <v>0</v>
      </c>
      <c r="I51" s="3"/>
      <c r="J51" s="5"/>
      <c r="K51" s="6"/>
      <c r="N51" s="34"/>
      <c r="O51" s="35"/>
    </row>
    <row r="52" spans="1:15" ht="15.75" thickBot="1">
      <c r="A52" s="10" t="s">
        <v>152</v>
      </c>
      <c r="B52" s="50" t="s">
        <v>157</v>
      </c>
      <c r="C52" s="27" t="s">
        <v>155</v>
      </c>
      <c r="D52" s="22">
        <v>135</v>
      </c>
      <c r="E52" s="45">
        <v>0</v>
      </c>
      <c r="F52" s="45">
        <v>0</v>
      </c>
      <c r="G52" s="22">
        <v>135</v>
      </c>
      <c r="H52" s="3">
        <v>0</v>
      </c>
      <c r="I52" s="3"/>
      <c r="J52" s="5"/>
      <c r="K52" s="6"/>
      <c r="N52" s="34"/>
      <c r="O52" s="35"/>
    </row>
    <row r="53" spans="1:15" ht="15.75" thickBot="1">
      <c r="A53" s="10" t="s">
        <v>162</v>
      </c>
      <c r="B53" s="25" t="s">
        <v>158</v>
      </c>
      <c r="C53" s="27" t="s">
        <v>159</v>
      </c>
      <c r="D53" s="22">
        <v>25</v>
      </c>
      <c r="E53" s="45">
        <v>0</v>
      </c>
      <c r="F53" s="45">
        <v>0</v>
      </c>
      <c r="G53" s="22">
        <v>25</v>
      </c>
      <c r="H53" s="3">
        <v>0</v>
      </c>
      <c r="I53" s="3"/>
      <c r="J53" s="5"/>
      <c r="K53" s="6"/>
      <c r="N53" s="34"/>
      <c r="O53" s="35"/>
    </row>
    <row r="54" spans="1:15" ht="15.75" thickBot="1">
      <c r="A54" s="10" t="s">
        <v>163</v>
      </c>
      <c r="B54" s="51" t="s">
        <v>161</v>
      </c>
      <c r="C54" s="27" t="s">
        <v>160</v>
      </c>
      <c r="D54" s="22">
        <v>207</v>
      </c>
      <c r="E54" s="45">
        <v>0</v>
      </c>
      <c r="F54" s="45">
        <v>0</v>
      </c>
      <c r="G54" s="22">
        <v>207</v>
      </c>
      <c r="H54" s="3">
        <v>0</v>
      </c>
      <c r="I54" s="3"/>
      <c r="J54" s="5"/>
      <c r="K54" s="6"/>
      <c r="N54" s="34"/>
      <c r="O54" s="35"/>
    </row>
    <row r="55" spans="1:15" ht="15.75" thickBot="1">
      <c r="A55" s="10" t="s">
        <v>164</v>
      </c>
      <c r="B55" s="49" t="s">
        <v>156</v>
      </c>
      <c r="C55" s="27" t="s">
        <v>154</v>
      </c>
      <c r="D55" s="22">
        <v>858</v>
      </c>
      <c r="E55" s="45">
        <v>0</v>
      </c>
      <c r="F55" s="45">
        <v>0</v>
      </c>
      <c r="G55" s="22">
        <v>858</v>
      </c>
      <c r="H55" s="3">
        <v>0</v>
      </c>
      <c r="I55" s="3"/>
      <c r="J55" s="5"/>
      <c r="K55" s="6"/>
      <c r="N55" s="34"/>
      <c r="O55" s="35"/>
    </row>
    <row r="56" spans="1:15" ht="15.75" thickBot="1">
      <c r="A56" s="10" t="s">
        <v>165</v>
      </c>
      <c r="B56" s="20" t="s">
        <v>140</v>
      </c>
      <c r="C56" s="20"/>
      <c r="D56" s="21">
        <f>SUM(D6:D55)</f>
        <v>128445</v>
      </c>
      <c r="E56" s="21">
        <f>SUM(E6:E55)</f>
        <v>9820.58</v>
      </c>
      <c r="F56" s="21">
        <f>SUM(F6:F55)</f>
        <v>7098.319999999998</v>
      </c>
      <c r="G56" s="21">
        <f>SUM(G6:G55)</f>
        <v>39264.100000000006</v>
      </c>
      <c r="H56" s="21">
        <f>SUM(H6:H55)</f>
        <v>50905.352000000006</v>
      </c>
      <c r="I56" s="21">
        <f aca="true" t="shared" si="3" ref="I56:O56">SUM(I6:I50)</f>
        <v>0</v>
      </c>
      <c r="J56" s="21">
        <f t="shared" si="3"/>
        <v>0</v>
      </c>
      <c r="K56" s="21">
        <f t="shared" si="3"/>
        <v>0</v>
      </c>
      <c r="L56" s="21">
        <f t="shared" si="3"/>
        <v>0</v>
      </c>
      <c r="M56" s="21">
        <f t="shared" si="3"/>
        <v>25552.210000000003</v>
      </c>
      <c r="N56" s="21">
        <f t="shared" si="3"/>
        <v>63628.69000000001</v>
      </c>
      <c r="O56" s="21">
        <f t="shared" si="3"/>
        <v>50902.952000000005</v>
      </c>
    </row>
    <row r="58" spans="1:2" ht="21.75" customHeight="1">
      <c r="A58" s="61"/>
      <c r="B58" s="61"/>
    </row>
    <row r="59" spans="1:7" ht="25.5" customHeight="1">
      <c r="A59" s="62"/>
      <c r="B59" s="62"/>
      <c r="C59" s="62"/>
      <c r="D59" s="62"/>
      <c r="E59" s="62"/>
      <c r="F59" s="63"/>
      <c r="G59" s="63"/>
    </row>
    <row r="60" spans="1:5" ht="15">
      <c r="A60" s="60"/>
      <c r="B60" s="60"/>
      <c r="C60" s="60"/>
      <c r="D60" s="60"/>
      <c r="E60" s="60"/>
    </row>
    <row r="65" ht="15">
      <c r="J65" t="s">
        <v>149</v>
      </c>
    </row>
  </sheetData>
  <sheetProtection/>
  <mergeCells count="6">
    <mergeCell ref="A1:K1"/>
    <mergeCell ref="B4:H4"/>
    <mergeCell ref="I4:K4"/>
    <mergeCell ref="A60:E60"/>
    <mergeCell ref="A58:B58"/>
    <mergeCell ref="A59:G59"/>
  </mergeCells>
  <printOptions/>
  <pageMargins left="0.25" right="0.25" top="0.75" bottom="0.75" header="0.3" footer="0.3"/>
  <pageSetup fitToHeight="1" fitToWidth="1" horizontalDpi="600" verticalDpi="600" orientation="portrait" paperSize="8" r:id="rId1"/>
  <ignoredErrors>
    <ignoredError sqref="C34 C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Prezes</dc:creator>
  <cp:keywords/>
  <dc:description/>
  <cp:lastModifiedBy>Kazimierz Janicki</cp:lastModifiedBy>
  <cp:lastPrinted>2014-07-01T09:24:31Z</cp:lastPrinted>
  <dcterms:created xsi:type="dcterms:W3CDTF">2014-06-28T19:28:44Z</dcterms:created>
  <dcterms:modified xsi:type="dcterms:W3CDTF">2016-11-21T11:43:30Z</dcterms:modified>
  <cp:category/>
  <cp:version/>
  <cp:contentType/>
  <cp:contentStatus/>
</cp:coreProperties>
</file>